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Anton\QMdata\0Pept_helix_SSe\Benchmarks\Large_Benchmarks\"/>
    </mc:Choice>
  </mc:AlternateContent>
  <xr:revisionPtr revIDLastSave="0" documentId="13_ncr:1_{4E33989C-9282-4006-94C1-A87635BAA3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Q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2" l="1"/>
  <c r="M35" i="2"/>
  <c r="L35" i="2"/>
  <c r="K35" i="2"/>
  <c r="J35" i="2"/>
  <c r="I35" i="2"/>
  <c r="H35" i="2"/>
  <c r="B35" i="2"/>
  <c r="N34" i="2"/>
  <c r="M34" i="2"/>
  <c r="L34" i="2"/>
  <c r="K34" i="2"/>
  <c r="I34" i="2"/>
  <c r="H34" i="2"/>
  <c r="B34" i="2"/>
  <c r="N33" i="2"/>
  <c r="M33" i="2"/>
  <c r="L33" i="2"/>
  <c r="K33" i="2"/>
  <c r="J33" i="2"/>
  <c r="I33" i="2"/>
  <c r="H33" i="2"/>
  <c r="B33" i="2"/>
  <c r="N32" i="2"/>
  <c r="M32" i="2"/>
  <c r="L32" i="2"/>
  <c r="K32" i="2"/>
  <c r="J32" i="2"/>
  <c r="I32" i="2"/>
  <c r="H32" i="2"/>
  <c r="B32" i="2"/>
  <c r="R31" i="2"/>
  <c r="Q31" i="2"/>
  <c r="N31" i="2"/>
  <c r="M31" i="2"/>
  <c r="L31" i="2"/>
  <c r="K31" i="2"/>
  <c r="J31" i="2"/>
  <c r="I31" i="2"/>
  <c r="H31" i="2"/>
  <c r="B31" i="2"/>
  <c r="N30" i="2"/>
  <c r="M30" i="2"/>
  <c r="L30" i="2"/>
  <c r="K30" i="2"/>
  <c r="J30" i="2"/>
  <c r="I30" i="2"/>
  <c r="H30" i="2"/>
  <c r="B30" i="2"/>
  <c r="V4" i="2"/>
  <c r="R22" i="2"/>
  <c r="Q22" i="2"/>
  <c r="B27" i="2"/>
  <c r="B26" i="2"/>
  <c r="B25" i="2"/>
  <c r="B24" i="2"/>
  <c r="B23" i="2"/>
  <c r="B22" i="2"/>
  <c r="Q13" i="2"/>
  <c r="R13" i="2"/>
  <c r="B18" i="2"/>
  <c r="B17" i="2"/>
  <c r="B16" i="2"/>
  <c r="B15" i="2"/>
  <c r="B14" i="2"/>
  <c r="B13" i="2"/>
  <c r="Z7" i="2"/>
  <c r="Y5" i="2"/>
  <c r="Y4" i="2"/>
  <c r="Y7" i="2" s="1"/>
  <c r="Y3" i="2"/>
  <c r="X3" i="2"/>
  <c r="X7" i="2" s="1"/>
  <c r="W3" i="2"/>
  <c r="R4" i="2"/>
  <c r="Q4" i="2"/>
  <c r="B9" i="2"/>
  <c r="B8" i="2"/>
  <c r="B7" i="2"/>
  <c r="B6" i="2"/>
  <c r="B5" i="2"/>
  <c r="B4" i="2"/>
</calcChain>
</file>

<file path=xl/sharedStrings.xml><?xml version="1.0" encoding="utf-8"?>
<sst xmlns="http://schemas.openxmlformats.org/spreadsheetml/2006/main" count="95" uniqueCount="28">
  <si>
    <t>deg</t>
  </si>
  <si>
    <t>Q</t>
  </si>
  <si>
    <t>q</t>
  </si>
  <si>
    <t>p</t>
  </si>
  <si>
    <t>T</t>
  </si>
  <si>
    <t>Energy, kJ/mol</t>
  </si>
  <si>
    <t>f</t>
  </si>
  <si>
    <t>h</t>
  </si>
  <si>
    <t>d(O-N)</t>
  </si>
  <si>
    <t>Ang(C-O-N)</t>
  </si>
  <si>
    <t>d(H-N)</t>
  </si>
  <si>
    <t>R(C_alpha)</t>
  </si>
  <si>
    <t>d(C_alpha-H)</t>
  </si>
  <si>
    <t>Ang(phi)</t>
  </si>
  <si>
    <t>Ang(psi)</t>
  </si>
  <si>
    <t>EXP REF</t>
  </si>
  <si>
    <t>mean</t>
  </si>
  <si>
    <t>PBE0 D3 TZVP</t>
  </si>
  <si>
    <t>Alpha</t>
  </si>
  <si>
    <t>Rel. Energy kJ/mol</t>
  </si>
  <si>
    <t>Angle, deg</t>
  </si>
  <si>
    <t>Qaa</t>
  </si>
  <si>
    <t>Alpha minima</t>
  </si>
  <si>
    <t>Pi minima</t>
  </si>
  <si>
    <t>angle</t>
  </si>
  <si>
    <t>PBE DZVP_r2 TZVP (Our basis set)</t>
  </si>
  <si>
    <t>PBE0 TZVP</t>
  </si>
  <si>
    <t>PBE TZVP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</si>
</sst>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Unicode MS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5" fontId="0" fillId="0" borderId="0" xfId="0" applyNumberFormat="1"/>
    <xf numFmtId="2" fontId="0" fillId="0" borderId="0" xfId="0" applyNumberFormat="1"/>
    <xf numFmtId="0" fontId="3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3" borderId="1" xfId="0" applyFill="1" applyBorder="1"/>
    <xf numFmtId="2" fontId="0" fillId="3" borderId="1" xfId="0" applyNumberFormat="1" applyFill="1" applyBorder="1"/>
    <xf numFmtId="165" fontId="0" fillId="3" borderId="1" xfId="0" applyNumberFormat="1" applyFill="1" applyBorder="1"/>
    <xf numFmtId="165" fontId="0" fillId="2" borderId="1" xfId="0" applyNumberFormat="1" applyFill="1" applyBorder="1"/>
    <xf numFmtId="2" fontId="0" fillId="2" borderId="1" xfId="0" applyNumberFormat="1" applyFill="1" applyBorder="1"/>
    <xf numFmtId="2" fontId="2" fillId="2" borderId="1" xfId="0" applyNumberFormat="1" applyFont="1" applyFill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0" fontId="0" fillId="2" borderId="2" xfId="0" applyFill="1" applyBorder="1"/>
    <xf numFmtId="165" fontId="1" fillId="0" borderId="3" xfId="0" applyNumberFormat="1" applyFont="1" applyBorder="1" applyAlignment="1">
      <alignment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1" xfId="0" applyNumberFormat="1" applyBorder="1"/>
    <xf numFmtId="164" fontId="0" fillId="0" borderId="3" xfId="0" applyNumberFormat="1" applyBorder="1"/>
    <xf numFmtId="0" fontId="0" fillId="2" borderId="7" xfId="0" applyFill="1" applyBorder="1" applyAlignment="1">
      <alignment wrapText="1"/>
    </xf>
    <xf numFmtId="0" fontId="0" fillId="0" borderId="8" xfId="0" applyBorder="1"/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11" xfId="0" applyBorder="1"/>
    <xf numFmtId="0" fontId="0" fillId="0" borderId="12" xfId="0" applyBorder="1"/>
    <xf numFmtId="165" fontId="0" fillId="3" borderId="7" xfId="0" applyNumberFormat="1" applyFill="1" applyBorder="1"/>
    <xf numFmtId="165" fontId="0" fillId="2" borderId="7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1" fillId="0" borderId="0" xfId="0" applyNumberFormat="1" applyFont="1" applyBorder="1" applyAlignment="1">
      <alignment vertical="center"/>
    </xf>
    <xf numFmtId="164" fontId="0" fillId="0" borderId="0" xfId="0" applyNumberFormat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165" fontId="1" fillId="0" borderId="0" xfId="0" applyNumberFormat="1" applyFont="1" applyFill="1" applyBorder="1" applyAlignment="1">
      <alignment vertical="center"/>
    </xf>
    <xf numFmtId="2" fontId="0" fillId="0" borderId="0" xfId="0" applyNumberFormat="1" applyFill="1" applyBorder="1"/>
    <xf numFmtId="165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 applyBorder="1" applyAlignment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7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EF35D-E063-4E43-9673-D18E581A16D3}">
  <dimension ref="A1:Z47"/>
  <sheetViews>
    <sheetView tabSelected="1" topLeftCell="A13" zoomScaleNormal="100" workbookViewId="0">
      <selection activeCell="U17" sqref="U17"/>
    </sheetView>
  </sheetViews>
  <sheetFormatPr defaultRowHeight="15" x14ac:dyDescent="0.25"/>
  <cols>
    <col min="9" max="9" width="13.85546875" customWidth="1"/>
    <col min="11" max="11" width="11.42578125" customWidth="1"/>
    <col min="12" max="12" width="11.7109375" customWidth="1"/>
    <col min="16" max="16" width="18.5703125" customWidth="1"/>
    <col min="17" max="17" width="12.5703125" customWidth="1"/>
    <col min="18" max="18" width="14.140625" customWidth="1"/>
    <col min="19" max="19" width="13.5703125" style="32" customWidth="1"/>
  </cols>
  <sheetData>
    <row r="1" spans="1:26" x14ac:dyDescent="0.25">
      <c r="A1" s="43" t="s">
        <v>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5"/>
      <c r="P1" s="21"/>
      <c r="Q1" s="22" t="s">
        <v>23</v>
      </c>
      <c r="R1" s="23" t="s">
        <v>22</v>
      </c>
      <c r="S1" s="33"/>
    </row>
    <row r="2" spans="1:26" x14ac:dyDescent="0.25">
      <c r="A2" s="30" t="s">
        <v>17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1"/>
      <c r="P2" s="24" t="s">
        <v>19</v>
      </c>
      <c r="Q2" s="12">
        <v>1.861712</v>
      </c>
      <c r="R2" s="14">
        <v>-1.1636000000000001E-2</v>
      </c>
      <c r="S2" s="34"/>
      <c r="U2" t="s">
        <v>15</v>
      </c>
      <c r="V2" t="s">
        <v>1</v>
      </c>
      <c r="W2" t="s">
        <v>7</v>
      </c>
      <c r="X2" t="s">
        <v>6</v>
      </c>
      <c r="Y2" t="s">
        <v>8</v>
      </c>
      <c r="Z2" t="s">
        <v>11</v>
      </c>
    </row>
    <row r="3" spans="1:26" ht="30" x14ac:dyDescent="0.25">
      <c r="A3" s="4" t="s">
        <v>0</v>
      </c>
      <c r="B3" s="4" t="s">
        <v>21</v>
      </c>
      <c r="C3" s="4" t="s">
        <v>2</v>
      </c>
      <c r="D3" s="4" t="s">
        <v>3</v>
      </c>
      <c r="E3" s="4" t="s">
        <v>4</v>
      </c>
      <c r="F3" s="4" t="s">
        <v>6</v>
      </c>
      <c r="G3" s="4" t="s">
        <v>7</v>
      </c>
      <c r="H3" s="4" t="s">
        <v>8</v>
      </c>
      <c r="I3" s="4" t="s">
        <v>12</v>
      </c>
      <c r="J3" s="4" t="s">
        <v>10</v>
      </c>
      <c r="K3" s="5" t="s">
        <v>11</v>
      </c>
      <c r="L3" s="5" t="s">
        <v>9</v>
      </c>
      <c r="M3" s="4" t="s">
        <v>13</v>
      </c>
      <c r="N3" s="4" t="s">
        <v>14</v>
      </c>
      <c r="O3" s="20" t="s">
        <v>5</v>
      </c>
      <c r="P3" s="13" t="s">
        <v>20</v>
      </c>
      <c r="Q3" s="12">
        <v>80.700849603652898</v>
      </c>
      <c r="R3" s="14">
        <v>99.778182939656602</v>
      </c>
      <c r="S3" s="34"/>
      <c r="V3">
        <v>3.6150000000000002</v>
      </c>
      <c r="W3">
        <f>5.41</f>
        <v>5.41</v>
      </c>
      <c r="X3">
        <f>1.495</f>
        <v>1.4950000000000001</v>
      </c>
      <c r="Y3">
        <f>2.824</f>
        <v>2.8239999999999998</v>
      </c>
      <c r="Z3" s="3">
        <v>2.29</v>
      </c>
    </row>
    <row r="4" spans="1:26" x14ac:dyDescent="0.25">
      <c r="A4" s="4">
        <v>104.211</v>
      </c>
      <c r="B4" s="4">
        <f>360/A4</f>
        <v>3.4545297521374905</v>
      </c>
      <c r="C4" s="6">
        <v>38</v>
      </c>
      <c r="D4" s="6">
        <v>7</v>
      </c>
      <c r="E4" s="7">
        <v>56.103704818700002</v>
      </c>
      <c r="F4" s="8">
        <v>1.4764132847026299</v>
      </c>
      <c r="G4" s="7">
        <v>5.1003368017000001</v>
      </c>
      <c r="H4" s="9">
        <v>2.8528199999999999</v>
      </c>
      <c r="I4" s="10">
        <v>1.0923</v>
      </c>
      <c r="J4" s="10">
        <v>1.01668</v>
      </c>
      <c r="K4" s="11">
        <v>2.21815351136931</v>
      </c>
      <c r="L4" s="10">
        <v>151.73599999999999</v>
      </c>
      <c r="M4" s="10">
        <v>-62.869</v>
      </c>
      <c r="N4" s="10">
        <v>-37.18</v>
      </c>
      <c r="O4" s="28">
        <v>3.6781642306596001</v>
      </c>
      <c r="P4" s="25" t="s">
        <v>21</v>
      </c>
      <c r="Q4" s="18">
        <f>360/Q3</f>
        <v>4.4609195785183493</v>
      </c>
      <c r="R4" s="19">
        <f>360/R3</f>
        <v>3.6080031665611627</v>
      </c>
      <c r="S4" s="35"/>
      <c r="U4" t="s">
        <v>24</v>
      </c>
      <c r="V4" s="1">
        <f>360/V7</f>
        <v>99.585062240663888</v>
      </c>
      <c r="W4" s="2"/>
      <c r="X4" s="3">
        <v>1.5</v>
      </c>
      <c r="Y4" s="1">
        <f>2.909</f>
        <v>2.9089999999999998</v>
      </c>
    </row>
    <row r="5" spans="1:26" x14ac:dyDescent="0.25">
      <c r="A5" s="4">
        <v>102.857</v>
      </c>
      <c r="B5" s="4">
        <f t="shared" ref="B5:B9" si="0">360/A5</f>
        <v>3.5000048611178629</v>
      </c>
      <c r="C5" s="4">
        <v>7</v>
      </c>
      <c r="D5" s="4">
        <v>4</v>
      </c>
      <c r="E5" s="10">
        <v>10.31612133</v>
      </c>
      <c r="F5" s="9">
        <v>1.47373161857142</v>
      </c>
      <c r="G5" s="10">
        <v>5.1580606649999998</v>
      </c>
      <c r="H5" s="9">
        <v>2.8348499999999999</v>
      </c>
      <c r="I5" s="10">
        <v>1.0922700000000001</v>
      </c>
      <c r="J5" s="10">
        <v>1.0179</v>
      </c>
      <c r="K5" s="10">
        <v>2.23788851375576</v>
      </c>
      <c r="L5" s="10">
        <v>152.898</v>
      </c>
      <c r="M5" s="10">
        <v>-62.331000000000003</v>
      </c>
      <c r="N5" s="10">
        <v>-39.198999999999998</v>
      </c>
      <c r="O5" s="29">
        <v>1.7630693063838401</v>
      </c>
      <c r="P5" s="26"/>
      <c r="Q5" s="32"/>
      <c r="R5" s="15"/>
      <c r="Y5" s="1">
        <f>2.87</f>
        <v>2.87</v>
      </c>
    </row>
    <row r="6" spans="1:26" x14ac:dyDescent="0.25">
      <c r="A6" s="4">
        <v>100</v>
      </c>
      <c r="B6" s="4">
        <f t="shared" si="0"/>
        <v>3.6</v>
      </c>
      <c r="C6" s="6">
        <v>18</v>
      </c>
      <c r="D6" s="6">
        <v>11</v>
      </c>
      <c r="E6" s="7">
        <v>26.433957490000001</v>
      </c>
      <c r="F6" s="8">
        <v>1.4685531938888801</v>
      </c>
      <c r="G6" s="7">
        <v>5.2867914980000004</v>
      </c>
      <c r="H6" s="9">
        <v>2.8235800000000002</v>
      </c>
      <c r="I6" s="10">
        <v>1.0921400000000001</v>
      </c>
      <c r="J6" s="10">
        <v>1.0190600000000001</v>
      </c>
      <c r="K6" s="10">
        <v>2.2812814381395299</v>
      </c>
      <c r="L6" s="10">
        <v>154.19200000000001</v>
      </c>
      <c r="M6" s="10">
        <v>-61.874000000000002</v>
      </c>
      <c r="N6" s="10">
        <v>-42.695999999999998</v>
      </c>
      <c r="O6" s="28">
        <v>0</v>
      </c>
      <c r="P6" s="26"/>
      <c r="Q6" s="32"/>
      <c r="R6" s="15"/>
      <c r="Y6" s="1"/>
    </row>
    <row r="7" spans="1:26" x14ac:dyDescent="0.25">
      <c r="A7" s="4">
        <v>99.573999999999998</v>
      </c>
      <c r="B7" s="4">
        <f t="shared" si="0"/>
        <v>3.6154016108622735</v>
      </c>
      <c r="C7" s="4">
        <v>47</v>
      </c>
      <c r="D7" s="4">
        <v>29</v>
      </c>
      <c r="E7" s="10">
        <v>68.976195196399999</v>
      </c>
      <c r="F7" s="9">
        <v>1.4675786211999999</v>
      </c>
      <c r="G7" s="10">
        <v>5.3058611689538404</v>
      </c>
      <c r="H7" s="9">
        <v>2.8243800000000001</v>
      </c>
      <c r="I7" s="10">
        <v>1.0921099999999999</v>
      </c>
      <c r="J7" s="10">
        <v>1.0191300000000001</v>
      </c>
      <c r="K7" s="10">
        <v>2.2876363347350401</v>
      </c>
      <c r="L7" s="10">
        <v>154.203</v>
      </c>
      <c r="M7" s="10">
        <v>-61.947000000000003</v>
      </c>
      <c r="N7" s="10">
        <v>-43.07</v>
      </c>
      <c r="O7" s="29">
        <v>6.9121713750064297E-4</v>
      </c>
      <c r="P7" s="26"/>
      <c r="Q7" s="32"/>
      <c r="R7" s="15"/>
      <c r="U7" t="s">
        <v>16</v>
      </c>
      <c r="V7">
        <v>3.6150000000000002</v>
      </c>
      <c r="W7">
        <v>5.41</v>
      </c>
      <c r="X7">
        <f>AVERAGE(X3:X4)</f>
        <v>1.4975000000000001</v>
      </c>
      <c r="Y7" s="1">
        <f>AVERAGE(Y3:Y5)</f>
        <v>2.8676666666666666</v>
      </c>
      <c r="Z7">
        <f>2.29</f>
        <v>2.29</v>
      </c>
    </row>
    <row r="8" spans="1:26" x14ac:dyDescent="0.25">
      <c r="A8" s="4">
        <v>98.182000000000002</v>
      </c>
      <c r="B8" s="4">
        <f t="shared" si="0"/>
        <v>3.6666598765557841</v>
      </c>
      <c r="C8" s="6">
        <v>11</v>
      </c>
      <c r="D8" s="6">
        <v>4</v>
      </c>
      <c r="E8" s="7">
        <v>16.095307099999999</v>
      </c>
      <c r="F8" s="8">
        <v>1.4632097363636301</v>
      </c>
      <c r="G8" s="7">
        <v>5.36510236666666</v>
      </c>
      <c r="H8" s="9">
        <v>2.8294899999999998</v>
      </c>
      <c r="I8" s="10">
        <v>1.0920099999999999</v>
      </c>
      <c r="J8" s="10">
        <v>1.0192099999999999</v>
      </c>
      <c r="K8" s="10">
        <v>2.3113340303815799</v>
      </c>
      <c r="L8" s="10">
        <v>153.87</v>
      </c>
      <c r="M8" s="10">
        <v>-62.429000000000002</v>
      </c>
      <c r="N8" s="10">
        <v>-44.057000000000002</v>
      </c>
      <c r="O8" s="28">
        <v>0.32447373610921199</v>
      </c>
      <c r="P8" s="26"/>
      <c r="Q8" s="32"/>
      <c r="R8" s="15"/>
    </row>
    <row r="9" spans="1:26" ht="15.75" thickBot="1" x14ac:dyDescent="0.3">
      <c r="A9" s="4">
        <v>96</v>
      </c>
      <c r="B9" s="4">
        <f t="shared" si="0"/>
        <v>3.75</v>
      </c>
      <c r="C9" s="4">
        <v>15</v>
      </c>
      <c r="D9" s="4">
        <v>4</v>
      </c>
      <c r="E9" s="10">
        <v>21.793521779999999</v>
      </c>
      <c r="F9" s="9">
        <v>1.4529014519999901</v>
      </c>
      <c r="G9" s="10">
        <v>5.4483804449999997</v>
      </c>
      <c r="H9" s="9">
        <v>2.8431500000000001</v>
      </c>
      <c r="I9" s="10">
        <v>1.09179</v>
      </c>
      <c r="J9" s="10">
        <v>1.01902</v>
      </c>
      <c r="K9" s="10">
        <v>2.3511429135635198</v>
      </c>
      <c r="L9" s="10">
        <v>152.601</v>
      </c>
      <c r="M9" s="10">
        <v>-63.393000000000001</v>
      </c>
      <c r="N9" s="10">
        <v>-45.368000000000002</v>
      </c>
      <c r="O9" s="29">
        <v>1.6371996817179</v>
      </c>
      <c r="P9" s="27"/>
      <c r="Q9" s="16"/>
      <c r="R9" s="17"/>
    </row>
    <row r="10" spans="1:26" x14ac:dyDescent="0.25">
      <c r="A10" s="43" t="s">
        <v>18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5"/>
      <c r="P10" s="21"/>
      <c r="Q10" s="22" t="s">
        <v>23</v>
      </c>
      <c r="R10" s="23" t="s">
        <v>22</v>
      </c>
      <c r="S10" s="33"/>
    </row>
    <row r="11" spans="1:26" x14ac:dyDescent="0.25">
      <c r="A11" s="30" t="s">
        <v>26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1"/>
      <c r="P11" s="24" t="s">
        <v>19</v>
      </c>
      <c r="Q11" s="12">
        <v>2.294673</v>
      </c>
      <c r="R11" s="14">
        <v>-0.18484600000000001</v>
      </c>
      <c r="S11" s="34"/>
    </row>
    <row r="12" spans="1:26" ht="30" x14ac:dyDescent="0.25">
      <c r="A12" s="4" t="s">
        <v>0</v>
      </c>
      <c r="B12" s="4" t="s">
        <v>21</v>
      </c>
      <c r="C12" s="4" t="s">
        <v>2</v>
      </c>
      <c r="D12" s="4" t="s">
        <v>3</v>
      </c>
      <c r="E12" s="4" t="s">
        <v>4</v>
      </c>
      <c r="F12" s="4" t="s">
        <v>6</v>
      </c>
      <c r="G12" s="4" t="s">
        <v>7</v>
      </c>
      <c r="H12" s="4" t="s">
        <v>8</v>
      </c>
      <c r="I12" s="4" t="s">
        <v>12</v>
      </c>
      <c r="J12" s="4" t="s">
        <v>10</v>
      </c>
      <c r="K12" s="5" t="s">
        <v>11</v>
      </c>
      <c r="L12" s="5" t="s">
        <v>9</v>
      </c>
      <c r="M12" s="4" t="s">
        <v>13</v>
      </c>
      <c r="N12" s="4" t="s">
        <v>14</v>
      </c>
      <c r="O12" s="20" t="s">
        <v>5</v>
      </c>
      <c r="P12" s="13" t="s">
        <v>20</v>
      </c>
      <c r="Q12" s="12">
        <v>80.389850748062102</v>
      </c>
      <c r="R12" s="14">
        <v>98.602101008097307</v>
      </c>
      <c r="S12" s="34"/>
    </row>
    <row r="13" spans="1:26" x14ac:dyDescent="0.25">
      <c r="A13" s="4">
        <v>104.211</v>
      </c>
      <c r="B13" s="4">
        <f>360/A13</f>
        <v>3.4545297521374905</v>
      </c>
      <c r="C13" s="6">
        <v>38</v>
      </c>
      <c r="D13" s="6">
        <v>7</v>
      </c>
      <c r="E13" s="7">
        <v>57.062671584500002</v>
      </c>
      <c r="F13" s="8">
        <v>1.50164925222368</v>
      </c>
      <c r="G13" s="7">
        <v>5.1875155985909096</v>
      </c>
      <c r="H13" s="9">
        <v>2.93811</v>
      </c>
      <c r="I13" s="10">
        <v>1.09236</v>
      </c>
      <c r="J13" s="10">
        <v>1.0152300000000001</v>
      </c>
      <c r="K13" s="11">
        <v>2.2183572751024498</v>
      </c>
      <c r="L13" s="10">
        <v>151.815</v>
      </c>
      <c r="M13" s="10">
        <v>-62.762</v>
      </c>
      <c r="N13" s="10">
        <v>-36.866999999999997</v>
      </c>
      <c r="O13" s="28">
        <v>4.20476002397481</v>
      </c>
      <c r="P13" s="25" t="s">
        <v>21</v>
      </c>
      <c r="Q13" s="18">
        <f>360/Q12</f>
        <v>4.4781772406596767</v>
      </c>
      <c r="R13" s="19">
        <f>360/R12</f>
        <v>3.6510378208922387</v>
      </c>
      <c r="S13" s="35"/>
    </row>
    <row r="14" spans="1:26" x14ac:dyDescent="0.25">
      <c r="A14" s="4">
        <v>102.857</v>
      </c>
      <c r="B14" s="4">
        <f t="shared" ref="B14:B18" si="1">360/A14</f>
        <v>3.5000048611178629</v>
      </c>
      <c r="C14" s="4">
        <v>7</v>
      </c>
      <c r="D14" s="4">
        <v>4</v>
      </c>
      <c r="E14" s="10">
        <v>10.460483740000001</v>
      </c>
      <c r="F14" s="9">
        <v>1.4943548200000001</v>
      </c>
      <c r="G14" s="10">
        <v>5.2302418700000004</v>
      </c>
      <c r="H14" s="9">
        <v>2.9037600000000001</v>
      </c>
      <c r="I14" s="10">
        <v>1.0923499999999999</v>
      </c>
      <c r="J14" s="10">
        <v>1.01674</v>
      </c>
      <c r="K14" s="10">
        <v>2.2387429508543399</v>
      </c>
      <c r="L14" s="10">
        <v>153.036</v>
      </c>
      <c r="M14" s="10">
        <v>-62.311</v>
      </c>
      <c r="N14" s="44">
        <v>-38.866999999999997</v>
      </c>
      <c r="O14" s="29">
        <v>2.19992974062915</v>
      </c>
      <c r="P14" s="26"/>
      <c r="Q14" s="32"/>
      <c r="R14" s="15"/>
    </row>
    <row r="15" spans="1:26" x14ac:dyDescent="0.25">
      <c r="A15" s="4">
        <v>100</v>
      </c>
      <c r="B15" s="4">
        <f t="shared" si="1"/>
        <v>3.6</v>
      </c>
      <c r="C15" s="6">
        <v>18</v>
      </c>
      <c r="D15" s="6">
        <v>11</v>
      </c>
      <c r="E15" s="7">
        <v>26.738721089999999</v>
      </c>
      <c r="F15" s="8">
        <v>1.4854845049999901</v>
      </c>
      <c r="G15" s="7">
        <v>5.3477442179999999</v>
      </c>
      <c r="H15" s="9">
        <v>2.8813599999999999</v>
      </c>
      <c r="I15" s="10">
        <v>1.09219</v>
      </c>
      <c r="J15" s="10">
        <v>1.0181199999999999</v>
      </c>
      <c r="K15" s="10">
        <v>2.2840140104649098</v>
      </c>
      <c r="L15" s="10">
        <v>154.18100000000001</v>
      </c>
      <c r="M15" s="10">
        <v>-62.286999999999999</v>
      </c>
      <c r="N15" s="10">
        <v>-42.011000000000003</v>
      </c>
      <c r="O15" s="28">
        <v>0</v>
      </c>
      <c r="P15" s="26"/>
      <c r="Q15" s="32"/>
      <c r="R15" s="15"/>
    </row>
    <row r="16" spans="1:26" x14ac:dyDescent="0.25">
      <c r="A16" s="4">
        <v>99.573999999999998</v>
      </c>
      <c r="B16" s="4">
        <f t="shared" si="1"/>
        <v>3.6154016108622735</v>
      </c>
      <c r="C16" s="4">
        <v>47</v>
      </c>
      <c r="D16" s="4">
        <v>29</v>
      </c>
      <c r="E16" s="10">
        <v>69.7614079035</v>
      </c>
      <c r="F16" s="9">
        <v>1.4842852745425501</v>
      </c>
      <c r="G16" s="10">
        <v>5.36626214642307</v>
      </c>
      <c r="H16" s="9">
        <v>2.8818199999999998</v>
      </c>
      <c r="I16" s="10">
        <v>1.09216</v>
      </c>
      <c r="J16" s="10">
        <v>1.0182100000000001</v>
      </c>
      <c r="K16" s="10">
        <v>2.2904927417479399</v>
      </c>
      <c r="L16" s="10">
        <v>154.15199999999999</v>
      </c>
      <c r="M16" s="10">
        <v>-62.424999999999997</v>
      </c>
      <c r="N16" s="10">
        <v>-42.33</v>
      </c>
      <c r="O16" s="29">
        <v>-0.119093682267703</v>
      </c>
      <c r="P16" s="26"/>
      <c r="Q16" s="32"/>
      <c r="R16" s="15"/>
    </row>
    <row r="17" spans="1:19" x14ac:dyDescent="0.25">
      <c r="A17" s="4">
        <v>98.182000000000002</v>
      </c>
      <c r="B17" s="4">
        <f t="shared" si="1"/>
        <v>3.6666598765557841</v>
      </c>
      <c r="C17" s="6">
        <v>11</v>
      </c>
      <c r="D17" s="6">
        <v>4</v>
      </c>
      <c r="E17" s="7">
        <v>16.27159172</v>
      </c>
      <c r="F17" s="8">
        <v>1.4792356109090901</v>
      </c>
      <c r="G17" s="7">
        <v>5.4238639066666599</v>
      </c>
      <c r="H17" s="9">
        <v>2.8859300000000001</v>
      </c>
      <c r="I17" s="10">
        <v>1.09205</v>
      </c>
      <c r="J17" s="10">
        <v>1.01834</v>
      </c>
      <c r="K17" s="10">
        <v>2.3138342637276299</v>
      </c>
      <c r="L17" s="10">
        <v>153.69300000000001</v>
      </c>
      <c r="M17" s="10">
        <v>-63.094000000000001</v>
      </c>
      <c r="N17" s="10">
        <v>-43.158000000000001</v>
      </c>
      <c r="O17" s="28">
        <v>-0.16853820777032499</v>
      </c>
      <c r="P17" s="26"/>
      <c r="Q17" s="32"/>
      <c r="R17" s="15"/>
    </row>
    <row r="18" spans="1:19" ht="15.75" thickBot="1" x14ac:dyDescent="0.3">
      <c r="A18" s="4">
        <v>96</v>
      </c>
      <c r="B18" s="4">
        <f t="shared" si="1"/>
        <v>3.75</v>
      </c>
      <c r="C18" s="4">
        <v>15</v>
      </c>
      <c r="D18" s="4">
        <v>4</v>
      </c>
      <c r="E18" s="10">
        <v>22.032763370000001</v>
      </c>
      <c r="F18" s="9">
        <v>1.46885089133333</v>
      </c>
      <c r="G18" s="10">
        <v>5.5081908425000004</v>
      </c>
      <c r="H18" s="9">
        <v>2.9011999999999998</v>
      </c>
      <c r="I18" s="10">
        <v>1.09182</v>
      </c>
      <c r="J18" s="10">
        <v>1.01814</v>
      </c>
      <c r="K18" s="10">
        <v>2.3547027413242598</v>
      </c>
      <c r="L18" s="10">
        <v>152.29300000000001</v>
      </c>
      <c r="M18" s="10">
        <v>-64.180999999999997</v>
      </c>
      <c r="N18" s="10">
        <v>-44.381</v>
      </c>
      <c r="O18" s="29">
        <v>0.58539166045375102</v>
      </c>
      <c r="P18" s="27"/>
      <c r="Q18" s="16"/>
      <c r="R18" s="17"/>
    </row>
    <row r="19" spans="1:19" x14ac:dyDescent="0.25">
      <c r="A19" s="43" t="s">
        <v>18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5"/>
      <c r="P19" s="21"/>
      <c r="Q19" s="22" t="s">
        <v>23</v>
      </c>
      <c r="R19" s="23" t="s">
        <v>22</v>
      </c>
      <c r="S19" s="33"/>
    </row>
    <row r="20" spans="1:19" x14ac:dyDescent="0.25">
      <c r="A20" s="30" t="s">
        <v>27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  <c r="P20" s="24" t="s">
        <v>19</v>
      </c>
      <c r="Q20" s="12">
        <v>1.4335290000000001</v>
      </c>
      <c r="R20" s="14">
        <v>-0.104555</v>
      </c>
      <c r="S20" s="34"/>
    </row>
    <row r="21" spans="1:19" ht="30" x14ac:dyDescent="0.25">
      <c r="A21" s="4" t="s">
        <v>0</v>
      </c>
      <c r="B21" s="4" t="s">
        <v>21</v>
      </c>
      <c r="C21" s="4" t="s">
        <v>2</v>
      </c>
      <c r="D21" s="4" t="s">
        <v>3</v>
      </c>
      <c r="E21" s="4" t="s">
        <v>4</v>
      </c>
      <c r="F21" s="4" t="s">
        <v>6</v>
      </c>
      <c r="G21" s="4" t="s">
        <v>7</v>
      </c>
      <c r="H21" s="4" t="s">
        <v>8</v>
      </c>
      <c r="I21" s="4" t="s">
        <v>12</v>
      </c>
      <c r="J21" s="4" t="s">
        <v>10</v>
      </c>
      <c r="K21" s="5" t="s">
        <v>11</v>
      </c>
      <c r="L21" s="5" t="s">
        <v>9</v>
      </c>
      <c r="M21" s="4" t="s">
        <v>13</v>
      </c>
      <c r="N21" s="4" t="s">
        <v>14</v>
      </c>
      <c r="O21" s="20" t="s">
        <v>5</v>
      </c>
      <c r="P21" s="13" t="s">
        <v>20</v>
      </c>
      <c r="Q21" s="12">
        <v>80.582486221313403</v>
      </c>
      <c r="R21" s="15">
        <v>99.120237142944305</v>
      </c>
      <c r="S21" s="34"/>
    </row>
    <row r="22" spans="1:19" x14ac:dyDescent="0.25">
      <c r="A22" s="4">
        <v>104.211</v>
      </c>
      <c r="B22" s="4">
        <f>360/A22</f>
        <v>3.4545297521374905</v>
      </c>
      <c r="C22" s="6">
        <v>38</v>
      </c>
      <c r="D22" s="6">
        <v>7</v>
      </c>
      <c r="E22" s="7">
        <v>57.102812041900002</v>
      </c>
      <c r="F22" s="8">
        <v>1.50270558005</v>
      </c>
      <c r="G22" s="7">
        <v>5.1911647310818099</v>
      </c>
      <c r="H22" s="9">
        <v>2.9252600000000002</v>
      </c>
      <c r="I22" s="10">
        <v>1.1002400000000001</v>
      </c>
      <c r="J22" s="10">
        <v>1.02668</v>
      </c>
      <c r="K22" s="11">
        <v>2.2407164032960498</v>
      </c>
      <c r="L22" s="10">
        <v>151.26599999999999</v>
      </c>
      <c r="M22" s="10">
        <v>-62.749000000000002</v>
      </c>
      <c r="N22" s="10">
        <v>-37.113</v>
      </c>
      <c r="O22" s="28">
        <v>3.92446676024701</v>
      </c>
      <c r="P22" s="25" t="s">
        <v>21</v>
      </c>
      <c r="Q22" s="18">
        <f>360/Q21</f>
        <v>4.4674719890285912</v>
      </c>
      <c r="R22" s="19">
        <f>360/R21</f>
        <v>3.631952569694048</v>
      </c>
      <c r="S22" s="35"/>
    </row>
    <row r="23" spans="1:19" x14ac:dyDescent="0.25">
      <c r="A23" s="4">
        <v>102.857</v>
      </c>
      <c r="B23" s="4">
        <f t="shared" ref="B23:B27" si="2">360/A23</f>
        <v>3.5000048611178629</v>
      </c>
      <c r="C23" s="4">
        <v>7</v>
      </c>
      <c r="D23" s="4">
        <v>4</v>
      </c>
      <c r="E23" s="10">
        <v>10.48180348</v>
      </c>
      <c r="F23" s="9">
        <v>1.4974004971428501</v>
      </c>
      <c r="G23" s="10">
        <v>5.24090174</v>
      </c>
      <c r="H23" s="9">
        <v>2.89757</v>
      </c>
      <c r="I23" s="10">
        <v>1.10023</v>
      </c>
      <c r="J23" s="10">
        <v>1.02816</v>
      </c>
      <c r="K23" s="10">
        <v>2.2621449997734402</v>
      </c>
      <c r="L23" s="10">
        <v>152.488</v>
      </c>
      <c r="M23" s="10">
        <v>-62.209000000000003</v>
      </c>
      <c r="N23" s="10">
        <v>-39.159999999999997</v>
      </c>
      <c r="O23" s="29">
        <v>2.0059273523511298</v>
      </c>
      <c r="P23" s="26"/>
      <c r="Q23" s="32"/>
      <c r="R23" s="15"/>
    </row>
    <row r="24" spans="1:19" x14ac:dyDescent="0.25">
      <c r="A24" s="4">
        <v>100</v>
      </c>
      <c r="B24" s="4">
        <f t="shared" si="2"/>
        <v>3.6</v>
      </c>
      <c r="C24" s="6">
        <v>18</v>
      </c>
      <c r="D24" s="6">
        <v>11</v>
      </c>
      <c r="E24" s="7">
        <v>26.835227939999999</v>
      </c>
      <c r="F24" s="8">
        <v>1.4908459966666601</v>
      </c>
      <c r="G24" s="7">
        <v>5.3670455879999999</v>
      </c>
      <c r="H24" s="9">
        <v>2.8826999999999998</v>
      </c>
      <c r="I24" s="10">
        <v>1.1000700000000001</v>
      </c>
      <c r="J24" s="10">
        <v>1.0293099999999999</v>
      </c>
      <c r="K24" s="10">
        <v>2.30628055535314</v>
      </c>
      <c r="L24" s="10">
        <v>153.684</v>
      </c>
      <c r="M24" s="10">
        <v>-62.109000000000002</v>
      </c>
      <c r="N24" s="10">
        <v>-42.32</v>
      </c>
      <c r="O24" s="28">
        <v>0</v>
      </c>
      <c r="P24" s="26"/>
      <c r="Q24" s="32"/>
      <c r="R24" s="15"/>
    </row>
    <row r="25" spans="1:19" x14ac:dyDescent="0.25">
      <c r="A25" s="4">
        <v>99.573999999999998</v>
      </c>
      <c r="B25" s="4">
        <f t="shared" si="2"/>
        <v>3.6154016108622735</v>
      </c>
      <c r="C25" s="4">
        <v>47</v>
      </c>
      <c r="D25" s="4">
        <v>29</v>
      </c>
      <c r="E25" s="10">
        <v>70.014108223099996</v>
      </c>
      <c r="F25" s="9">
        <v>1.4896618770872301</v>
      </c>
      <c r="G25" s="10">
        <v>5.3857006325461496</v>
      </c>
      <c r="H25" s="9">
        <v>2.8833899999999999</v>
      </c>
      <c r="I25" s="10">
        <v>1.1000300000000001</v>
      </c>
      <c r="J25" s="44">
        <v>1.0293699999999999</v>
      </c>
      <c r="K25" s="10">
        <v>2.31282273423624</v>
      </c>
      <c r="L25" s="10">
        <v>153.64599999999999</v>
      </c>
      <c r="M25" s="10">
        <v>-62.261000000000003</v>
      </c>
      <c r="N25" s="10">
        <v>-42.622999999999998</v>
      </c>
      <c r="O25" s="29">
        <v>-9.1228664969094098E-2</v>
      </c>
      <c r="P25" s="26"/>
      <c r="Q25" s="32"/>
      <c r="R25" s="15"/>
    </row>
    <row r="26" spans="1:19" x14ac:dyDescent="0.25">
      <c r="A26" s="4">
        <v>98.182000000000002</v>
      </c>
      <c r="B26" s="4">
        <f t="shared" si="2"/>
        <v>3.6666598765557841</v>
      </c>
      <c r="C26" s="6">
        <v>11</v>
      </c>
      <c r="D26" s="6">
        <v>4</v>
      </c>
      <c r="E26" s="7">
        <v>16.332487629999999</v>
      </c>
      <c r="F26" s="8">
        <v>1.4847716027272699</v>
      </c>
      <c r="G26" s="7">
        <v>5.4441625433333298</v>
      </c>
      <c r="H26" s="9">
        <v>2.8886500000000002</v>
      </c>
      <c r="I26" s="10">
        <v>1.0999099999999999</v>
      </c>
      <c r="J26" s="10">
        <v>1.0294000000000001</v>
      </c>
      <c r="K26" s="10">
        <v>2.3370059905785401</v>
      </c>
      <c r="L26" s="10">
        <v>153.16999999999999</v>
      </c>
      <c r="M26" s="10">
        <v>-62.968000000000004</v>
      </c>
      <c r="N26" s="10">
        <v>-43.401000000000003</v>
      </c>
      <c r="O26" s="28">
        <v>-4.5427562668919501E-2</v>
      </c>
      <c r="P26" s="26"/>
      <c r="Q26" s="32"/>
      <c r="R26" s="15"/>
    </row>
    <row r="27" spans="1:19" ht="15.75" thickBot="1" x14ac:dyDescent="0.3">
      <c r="A27" s="4">
        <v>96</v>
      </c>
      <c r="B27" s="4">
        <f t="shared" si="2"/>
        <v>3.75</v>
      </c>
      <c r="C27" s="4">
        <v>15</v>
      </c>
      <c r="D27" s="4">
        <v>4</v>
      </c>
      <c r="E27" s="10">
        <v>22.114476109999998</v>
      </c>
      <c r="F27" s="9">
        <v>1.4742984073333301</v>
      </c>
      <c r="G27" s="10">
        <v>5.5286190274999996</v>
      </c>
      <c r="H27" s="9">
        <v>2.9042300000000001</v>
      </c>
      <c r="I27" s="10">
        <v>1.0996600000000001</v>
      </c>
      <c r="J27" s="10">
        <v>1.0290900000000001</v>
      </c>
      <c r="K27" s="10">
        <v>2.3776833262652901</v>
      </c>
      <c r="L27" s="10">
        <v>151.822</v>
      </c>
      <c r="M27" s="10">
        <v>-64.02</v>
      </c>
      <c r="N27" s="10">
        <v>-44.634999999999998</v>
      </c>
      <c r="O27" s="29">
        <v>0.78485682932659895</v>
      </c>
      <c r="P27" s="27"/>
      <c r="Q27" s="16"/>
      <c r="R27" s="17"/>
    </row>
    <row r="28" spans="1:19" x14ac:dyDescent="0.25">
      <c r="A28" s="30" t="s">
        <v>25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1"/>
      <c r="P28" s="21"/>
      <c r="Q28" s="22" t="s">
        <v>23</v>
      </c>
      <c r="R28" s="23" t="s">
        <v>22</v>
      </c>
      <c r="S28" s="33"/>
    </row>
    <row r="29" spans="1:19" ht="30" x14ac:dyDescent="0.25">
      <c r="A29" s="4" t="s">
        <v>0</v>
      </c>
      <c r="B29" s="4" t="s">
        <v>21</v>
      </c>
      <c r="C29" s="4" t="s">
        <v>2</v>
      </c>
      <c r="D29" s="4" t="s">
        <v>3</v>
      </c>
      <c r="E29" s="4" t="s">
        <v>4</v>
      </c>
      <c r="F29" s="4" t="s">
        <v>6</v>
      </c>
      <c r="G29" s="4" t="s">
        <v>7</v>
      </c>
      <c r="H29" s="4" t="s">
        <v>8</v>
      </c>
      <c r="I29" s="4" t="s">
        <v>12</v>
      </c>
      <c r="J29" s="4" t="s">
        <v>10</v>
      </c>
      <c r="K29" s="5" t="s">
        <v>11</v>
      </c>
      <c r="L29" s="5" t="s">
        <v>9</v>
      </c>
      <c r="M29" s="4" t="s">
        <v>13</v>
      </c>
      <c r="N29" s="4" t="s">
        <v>14</v>
      </c>
      <c r="O29" s="20" t="s">
        <v>5</v>
      </c>
      <c r="P29" s="24" t="s">
        <v>19</v>
      </c>
      <c r="Q29" s="12">
        <v>2.1689280000000002</v>
      </c>
      <c r="R29" s="14">
        <v>-3.307E-3</v>
      </c>
      <c r="S29" s="34"/>
    </row>
    <row r="30" spans="1:19" x14ac:dyDescent="0.25">
      <c r="A30" s="4">
        <v>104.211</v>
      </c>
      <c r="B30" s="4">
        <f>360/A30</f>
        <v>3.4545297521374905</v>
      </c>
      <c r="C30" s="6">
        <v>38</v>
      </c>
      <c r="D30" s="6">
        <v>7</v>
      </c>
      <c r="E30" s="7">
        <v>56.972095070800002</v>
      </c>
      <c r="F30" s="8">
        <v>1.4992656597578899</v>
      </c>
      <c r="G30" s="7">
        <v>5.1792813700727196</v>
      </c>
      <c r="H30" s="9">
        <f>2.89429</f>
        <v>2.8942899999999998</v>
      </c>
      <c r="I30" s="10">
        <f>1.10362</f>
        <v>1.10362</v>
      </c>
      <c r="J30" s="10">
        <f>1.02785</f>
        <v>1.0278499999999999</v>
      </c>
      <c r="K30" s="10">
        <f>2.23523443960583</f>
        <v>2.2352344396058301</v>
      </c>
      <c r="L30" s="10">
        <f>152.001</f>
        <v>152.001</v>
      </c>
      <c r="M30" s="10">
        <f>-61.829</f>
        <v>-61.829000000000001</v>
      </c>
      <c r="N30" s="10">
        <f>-37.967</f>
        <v>-37.966999999999999</v>
      </c>
      <c r="O30" s="28">
        <v>3.1095701758749699</v>
      </c>
      <c r="P30" s="13" t="s">
        <v>20</v>
      </c>
      <c r="Q30" s="12">
        <v>80.769905260086006</v>
      </c>
      <c r="R30" s="14">
        <v>99.886974720255495</v>
      </c>
      <c r="S30" s="34"/>
    </row>
    <row r="31" spans="1:19" x14ac:dyDescent="0.25">
      <c r="A31" s="4">
        <v>102.857</v>
      </c>
      <c r="B31" s="4">
        <f t="shared" ref="B31:B35" si="3">360/A31</f>
        <v>3.5000048611178629</v>
      </c>
      <c r="C31" s="4">
        <v>7</v>
      </c>
      <c r="D31" s="4">
        <v>4</v>
      </c>
      <c r="E31" s="10">
        <v>10.469413769999999</v>
      </c>
      <c r="F31" s="9">
        <v>1.4956305385714199</v>
      </c>
      <c r="G31" s="10">
        <v>5.2347068849999996</v>
      </c>
      <c r="H31" s="9">
        <f>2.87216</f>
        <v>2.87216</v>
      </c>
      <c r="I31" s="10">
        <f>1.10363</f>
        <v>1.1036300000000001</v>
      </c>
      <c r="J31" s="10">
        <f>1.02922</f>
        <v>1.02922</v>
      </c>
      <c r="K31" s="10">
        <f>2.25527337589038</f>
        <v>2.25527337589038</v>
      </c>
      <c r="L31" s="10">
        <f>153.244</f>
        <v>153.244</v>
      </c>
      <c r="M31" s="10">
        <f>-61.208</f>
        <v>-61.207999999999998</v>
      </c>
      <c r="N31" s="10">
        <f>-40.077</f>
        <v>-40.076999999999998</v>
      </c>
      <c r="O31" s="29">
        <v>1.37008876609615</v>
      </c>
      <c r="P31" s="25" t="s">
        <v>21</v>
      </c>
      <c r="Q31" s="18">
        <f>360/Q30</f>
        <v>4.4571056365705664</v>
      </c>
      <c r="R31" s="19">
        <f t="shared" ref="R31" si="4">360/R30</f>
        <v>3.6040735141715903</v>
      </c>
      <c r="S31" s="35"/>
    </row>
    <row r="32" spans="1:19" x14ac:dyDescent="0.25">
      <c r="A32" s="4">
        <v>100</v>
      </c>
      <c r="B32" s="4">
        <f t="shared" si="3"/>
        <v>3.6</v>
      </c>
      <c r="C32" s="6">
        <v>18</v>
      </c>
      <c r="D32" s="6">
        <v>11</v>
      </c>
      <c r="E32" s="7">
        <v>26.836995120000001</v>
      </c>
      <c r="F32" s="8">
        <v>1.49094417333333</v>
      </c>
      <c r="G32" s="7">
        <v>5.367399024</v>
      </c>
      <c r="H32" s="9">
        <f>2.85856</f>
        <v>2.8585600000000002</v>
      </c>
      <c r="I32" s="10">
        <f>1.10355</f>
        <v>1.10355</v>
      </c>
      <c r="J32" s="10">
        <f>1.03049</f>
        <v>1.0304899999999999</v>
      </c>
      <c r="K32" s="10">
        <f>2.29847362395133</f>
        <v>2.2984736239513301</v>
      </c>
      <c r="L32" s="10">
        <f>154.955</f>
        <v>154.95500000000001</v>
      </c>
      <c r="M32" s="10">
        <f>-60.347</f>
        <v>-60.347000000000001</v>
      </c>
      <c r="N32" s="10">
        <f>-43.959</f>
        <v>-43.959000000000003</v>
      </c>
      <c r="O32" s="28">
        <v>0</v>
      </c>
      <c r="P32" s="26"/>
      <c r="Q32" s="32"/>
      <c r="R32" s="15"/>
    </row>
    <row r="33" spans="1:19" x14ac:dyDescent="0.25">
      <c r="A33" s="4">
        <v>99.573999999999998</v>
      </c>
      <c r="B33" s="4">
        <f t="shared" si="3"/>
        <v>3.6154016108622735</v>
      </c>
      <c r="C33" s="4">
        <v>47</v>
      </c>
      <c r="D33" s="4">
        <v>29</v>
      </c>
      <c r="E33" s="10">
        <v>70.0294983135</v>
      </c>
      <c r="F33" s="9">
        <v>1.4899893258191399</v>
      </c>
      <c r="G33" s="10">
        <v>5.38688448565384</v>
      </c>
      <c r="H33" s="9">
        <f>2.85852</f>
        <v>2.8585199999999999</v>
      </c>
      <c r="I33" s="10">
        <f>1.10353</f>
        <v>1.1035299999999999</v>
      </c>
      <c r="J33" s="10">
        <f>1.03059</f>
        <v>1.0305899999999999</v>
      </c>
      <c r="K33" s="10">
        <f>2.30467221096623</f>
        <v>2.3046722109662299</v>
      </c>
      <c r="L33" s="10">
        <f>155.07</f>
        <v>155.07</v>
      </c>
      <c r="M33" s="10">
        <f>-60.345</f>
        <v>-60.344999999999999</v>
      </c>
      <c r="N33" s="10">
        <f>-44.406</f>
        <v>-44.405999999999999</v>
      </c>
      <c r="O33" s="29">
        <v>1.9109705113805799E-2</v>
      </c>
      <c r="P33" s="26"/>
      <c r="Q33" s="32"/>
      <c r="R33" s="15"/>
    </row>
    <row r="34" spans="1:19" x14ac:dyDescent="0.25">
      <c r="A34" s="4">
        <v>98.182000000000002</v>
      </c>
      <c r="B34" s="4">
        <f t="shared" si="3"/>
        <v>3.6666598765557841</v>
      </c>
      <c r="C34" s="6">
        <v>11</v>
      </c>
      <c r="D34" s="6">
        <v>4</v>
      </c>
      <c r="E34" s="7">
        <v>16.347357169999999</v>
      </c>
      <c r="F34" s="8">
        <v>1.4861233790909001</v>
      </c>
      <c r="G34" s="7">
        <v>5.4491190566666603</v>
      </c>
      <c r="H34" s="9">
        <f>2.8622</f>
        <v>2.8622000000000001</v>
      </c>
      <c r="I34" s="10">
        <f>1.10347</f>
        <v>1.10347</v>
      </c>
      <c r="J34" s="10">
        <v>1.0307200000000001</v>
      </c>
      <c r="K34" s="10">
        <f>2.32788165506754</f>
        <v>2.3278816550675399</v>
      </c>
      <c r="L34" s="10">
        <f>155.084</f>
        <v>155.084</v>
      </c>
      <c r="M34" s="10">
        <f>-60.569</f>
        <v>-60.569000000000003</v>
      </c>
      <c r="N34" s="10">
        <f>-45.642</f>
        <v>-45.642000000000003</v>
      </c>
      <c r="O34" s="28">
        <v>0.46865834365598802</v>
      </c>
      <c r="P34" s="26"/>
      <c r="Q34" s="32"/>
      <c r="R34" s="15"/>
    </row>
    <row r="35" spans="1:19" ht="15.75" thickBot="1" x14ac:dyDescent="0.3">
      <c r="A35" s="4">
        <v>96</v>
      </c>
      <c r="B35" s="4">
        <f t="shared" si="3"/>
        <v>3.75</v>
      </c>
      <c r="C35" s="4">
        <v>15</v>
      </c>
      <c r="D35" s="4">
        <v>4</v>
      </c>
      <c r="E35" s="10">
        <v>22.139478189999998</v>
      </c>
      <c r="F35" s="9">
        <v>1.47596521266666</v>
      </c>
      <c r="G35" s="10">
        <v>5.5348695474999996</v>
      </c>
      <c r="H35" s="9">
        <f>2.87225</f>
        <v>2.8722500000000002</v>
      </c>
      <c r="I35" s="10">
        <f>1.10331</f>
        <v>1.10331</v>
      </c>
      <c r="J35" s="10">
        <f>1.03057</f>
        <v>1.03057</v>
      </c>
      <c r="K35" s="10">
        <f>2.36736414604935</f>
        <v>2.3673641460493502</v>
      </c>
      <c r="L35" s="10">
        <f>154.256</f>
        <v>154.256</v>
      </c>
      <c r="M35" s="10">
        <f>-61.309</f>
        <v>-61.308999999999997</v>
      </c>
      <c r="N35" s="10">
        <f>-47.19</f>
        <v>-47.19</v>
      </c>
      <c r="O35" s="29">
        <v>2.0234716862905699</v>
      </c>
      <c r="P35" s="27"/>
      <c r="Q35" s="16"/>
      <c r="R35" s="17"/>
    </row>
    <row r="37" spans="1:19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1:19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36"/>
      <c r="Q38" s="37"/>
      <c r="R38" s="37"/>
      <c r="S38" s="37"/>
    </row>
    <row r="39" spans="1:19" x14ac:dyDescent="0.25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36"/>
      <c r="Q39" s="37"/>
      <c r="R39" s="37"/>
      <c r="S39" s="37"/>
    </row>
    <row r="40" spans="1:19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7"/>
      <c r="L40" s="37"/>
      <c r="M40" s="36"/>
      <c r="N40" s="36"/>
      <c r="O40" s="37"/>
      <c r="P40" s="37"/>
      <c r="Q40" s="38"/>
      <c r="R40" s="38"/>
      <c r="S40" s="38"/>
    </row>
    <row r="41" spans="1:19" x14ac:dyDescent="0.25">
      <c r="A41" s="36"/>
      <c r="B41" s="36"/>
      <c r="C41" s="36"/>
      <c r="D41" s="36"/>
      <c r="E41" s="39"/>
      <c r="F41" s="40"/>
      <c r="G41" s="39"/>
      <c r="H41" s="40"/>
      <c r="I41" s="39"/>
      <c r="J41" s="39"/>
      <c r="K41" s="39"/>
      <c r="L41" s="39"/>
      <c r="M41" s="39"/>
      <c r="N41" s="39"/>
      <c r="O41" s="40"/>
      <c r="P41" s="36"/>
      <c r="Q41" s="38"/>
      <c r="R41" s="38"/>
      <c r="S41" s="38"/>
    </row>
    <row r="42" spans="1:19" x14ac:dyDescent="0.25">
      <c r="A42" s="36"/>
      <c r="B42" s="36"/>
      <c r="C42" s="36"/>
      <c r="D42" s="36"/>
      <c r="E42" s="39"/>
      <c r="F42" s="40"/>
      <c r="G42" s="39"/>
      <c r="H42" s="40"/>
      <c r="I42" s="39"/>
      <c r="J42" s="39"/>
      <c r="K42" s="39"/>
      <c r="L42" s="39"/>
      <c r="M42" s="39"/>
      <c r="N42" s="39"/>
      <c r="O42" s="40"/>
      <c r="P42" s="36"/>
      <c r="Q42" s="41"/>
      <c r="R42" s="41"/>
      <c r="S42" s="41"/>
    </row>
    <row r="43" spans="1:19" x14ac:dyDescent="0.25">
      <c r="A43" s="36"/>
      <c r="B43" s="36"/>
      <c r="C43" s="36"/>
      <c r="D43" s="36"/>
      <c r="E43" s="39"/>
      <c r="F43" s="40"/>
      <c r="G43" s="39"/>
      <c r="H43" s="40"/>
      <c r="I43" s="39"/>
      <c r="J43" s="39"/>
      <c r="K43" s="39"/>
      <c r="L43" s="39"/>
      <c r="M43" s="39"/>
      <c r="N43" s="39"/>
      <c r="O43" s="40"/>
      <c r="P43" s="36"/>
      <c r="Q43" s="36"/>
      <c r="R43" s="36"/>
      <c r="S43" s="36"/>
    </row>
    <row r="44" spans="1:19" x14ac:dyDescent="0.25">
      <c r="A44" s="36"/>
      <c r="B44" s="36"/>
      <c r="C44" s="36"/>
      <c r="D44" s="36"/>
      <c r="E44" s="39"/>
      <c r="F44" s="40"/>
      <c r="G44" s="39"/>
      <c r="H44" s="40"/>
      <c r="I44" s="39"/>
      <c r="J44" s="39"/>
      <c r="K44" s="39"/>
      <c r="L44" s="39"/>
      <c r="M44" s="39"/>
      <c r="N44" s="39"/>
      <c r="O44" s="40"/>
      <c r="P44" s="36"/>
      <c r="Q44" s="36"/>
      <c r="R44" s="36"/>
      <c r="S44" s="36"/>
    </row>
    <row r="45" spans="1:19" x14ac:dyDescent="0.25">
      <c r="A45" s="36"/>
      <c r="B45" s="36"/>
      <c r="C45" s="36"/>
      <c r="D45" s="36"/>
      <c r="E45" s="39"/>
      <c r="F45" s="40"/>
      <c r="G45" s="39"/>
      <c r="H45" s="40"/>
      <c r="I45" s="39"/>
      <c r="J45" s="39"/>
      <c r="K45" s="39"/>
      <c r="L45" s="39"/>
      <c r="M45" s="39"/>
      <c r="N45" s="39"/>
      <c r="O45" s="40"/>
      <c r="P45" s="36"/>
      <c r="Q45" s="36"/>
      <c r="R45" s="36"/>
      <c r="S45" s="36"/>
    </row>
    <row r="46" spans="1:19" x14ac:dyDescent="0.25">
      <c r="A46" s="36"/>
      <c r="B46" s="36"/>
      <c r="C46" s="36"/>
      <c r="D46" s="36"/>
      <c r="E46" s="39"/>
      <c r="F46" s="40"/>
      <c r="G46" s="39"/>
      <c r="H46" s="40"/>
      <c r="I46" s="39"/>
      <c r="J46" s="39"/>
      <c r="K46" s="39"/>
      <c r="L46" s="39"/>
      <c r="M46" s="39"/>
      <c r="N46" s="39"/>
      <c r="O46" s="40"/>
      <c r="P46" s="36"/>
      <c r="Q46" s="36"/>
      <c r="R46" s="36"/>
      <c r="S46" s="36"/>
    </row>
    <row r="47" spans="1:19" x14ac:dyDescent="0.25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</row>
  </sheetData>
  <mergeCells count="7">
    <mergeCell ref="A10:O10"/>
    <mergeCell ref="A11:O11"/>
    <mergeCell ref="A2:O2"/>
    <mergeCell ref="A1:O1"/>
    <mergeCell ref="A19:O19"/>
    <mergeCell ref="A20:O20"/>
    <mergeCell ref="A28:O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Антон Домнин</cp:lastModifiedBy>
  <dcterms:created xsi:type="dcterms:W3CDTF">2015-06-05T18:19:34Z</dcterms:created>
  <dcterms:modified xsi:type="dcterms:W3CDTF">2025-09-29T12:27:13Z</dcterms:modified>
</cp:coreProperties>
</file>